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00" yWindow="-165" windowWidth="28170" windowHeight="13245" tabRatio="890"/>
  </bookViews>
  <sheets>
    <sheet name="termici" sheetId="1" r:id="rId1"/>
    <sheet name="totali" sheetId="5" r:id="rId2"/>
  </sheets>
  <externalReferences>
    <externalReference r:id="rId3"/>
  </externalReferences>
  <definedNames>
    <definedName name="_xlnm.Print_Area" localSheetId="1">totali!$A$1:$P$46</definedName>
    <definedName name="coef1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ese">#REF!</definedName>
    <definedName name="Fattore">[1]GM5!$A$1</definedName>
    <definedName name="gg">#REF!</definedName>
    <definedName name="GRADI">#REF!</definedName>
    <definedName name="_xlnm.Recorder">#REF!</definedName>
    <definedName name="RIGA1">#REF!</definedName>
    <definedName name="rigascr">#REF!</definedName>
  </definedNames>
  <calcPr calcId="145621"/>
</workbook>
</file>

<file path=xl/calcChain.xml><?xml version="1.0" encoding="utf-8"?>
<calcChain xmlns="http://schemas.openxmlformats.org/spreadsheetml/2006/main">
  <c r="O43" i="5" l="1"/>
  <c r="O42" i="5"/>
  <c r="O41" i="5"/>
  <c r="O40" i="5"/>
  <c r="O39" i="5"/>
  <c r="O38" i="5"/>
  <c r="O37" i="5"/>
  <c r="O36" i="5"/>
  <c r="O35" i="5"/>
  <c r="O34" i="5"/>
  <c r="O33" i="5"/>
  <c r="O32" i="5"/>
  <c r="O31" i="5"/>
  <c r="O29" i="5"/>
  <c r="O28" i="5"/>
  <c r="O27" i="5"/>
  <c r="O26" i="5"/>
  <c r="O25" i="5"/>
  <c r="O24" i="5"/>
  <c r="O23" i="5"/>
  <c r="O22" i="5"/>
  <c r="O21" i="5"/>
  <c r="O20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29" i="5"/>
  <c r="L28" i="5"/>
  <c r="L27" i="5"/>
  <c r="L26" i="5"/>
  <c r="L25" i="5"/>
  <c r="L24" i="5"/>
  <c r="L23" i="5"/>
  <c r="L21" i="5"/>
  <c r="L20" i="5"/>
  <c r="I43" i="5"/>
  <c r="I42" i="5"/>
  <c r="I41" i="5"/>
  <c r="I39" i="5"/>
  <c r="I38" i="5"/>
  <c r="I37" i="5"/>
  <c r="I36" i="5"/>
  <c r="I35" i="5"/>
  <c r="I34" i="5"/>
  <c r="I33" i="5"/>
  <c r="I32" i="5"/>
  <c r="I31" i="5"/>
  <c r="I29" i="5"/>
  <c r="I28" i="5"/>
  <c r="I27" i="5"/>
  <c r="I26" i="5"/>
  <c r="I25" i="5"/>
  <c r="I24" i="5"/>
  <c r="I23" i="5"/>
  <c r="I21" i="5"/>
  <c r="I20" i="5"/>
  <c r="F43" i="5"/>
  <c r="F41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C43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1" i="5"/>
  <c r="C20" i="5"/>
</calcChain>
</file>

<file path=xl/sharedStrings.xml><?xml version="1.0" encoding="utf-8"?>
<sst xmlns="http://schemas.openxmlformats.org/spreadsheetml/2006/main" count="103" uniqueCount="85">
  <si>
    <t>edificio</t>
  </si>
  <si>
    <t>R0</t>
  </si>
  <si>
    <t>2009-10</t>
  </si>
  <si>
    <t>R1</t>
  </si>
  <si>
    <t>R2</t>
  </si>
  <si>
    <t>R3</t>
  </si>
  <si>
    <t>R4</t>
  </si>
  <si>
    <t>R5</t>
  </si>
  <si>
    <t>2010-11</t>
  </si>
  <si>
    <t>2011-12</t>
  </si>
  <si>
    <t>2012-13</t>
  </si>
  <si>
    <t>2013-14</t>
  </si>
  <si>
    <t>2014-15</t>
  </si>
  <si>
    <t>residenza per anziani ( volume lordo riscaldato 3380)</t>
  </si>
  <si>
    <t>nuovi spoglatoi (volume lordo riscaldato 3789)</t>
  </si>
  <si>
    <t>vigli del fuoco (volume lordo riscaldato 997)</t>
  </si>
  <si>
    <t>scuola media (volume lordo riscaldato 16200)</t>
  </si>
  <si>
    <t>scuola media palestra (volume lordo riscaldato 5368)</t>
  </si>
  <si>
    <t>scuola media custode (volume lordo riscaldato 266)</t>
  </si>
  <si>
    <t>centro civico (volume lordo riscaldato 5471)</t>
  </si>
  <si>
    <t>scuola materna (volume lordo riscaldato 8945)</t>
  </si>
  <si>
    <t>palasport (volume lordo riscaldato 21729)</t>
  </si>
  <si>
    <t>palasport sottotribune (volume lordo riscaldato 603)</t>
  </si>
  <si>
    <t>municipio (volume lordo riscaldato 10331)</t>
  </si>
  <si>
    <t>scuola elementare (volume lordo riscaldato 13097)</t>
  </si>
  <si>
    <t>scuola elementare palestra (volume lordo riscaldato 4825)</t>
  </si>
  <si>
    <t>scuola elementare mensa (volume lordo riscaldato 1165)</t>
  </si>
  <si>
    <t>officina idraulica (volume lordo riscaldato 1941/458)</t>
  </si>
  <si>
    <t>officina deposito (volume lordo riscaldato 1941/920)</t>
  </si>
  <si>
    <t>magazzini, spogliatoi, carrozzeria (volume lordo riscaldato 1805)</t>
  </si>
  <si>
    <t>magazzini, spogliatoi, carrozzeria uffici PT (volume lordo riscaldato 435)</t>
  </si>
  <si>
    <t>protezione civile  (volume lordo riscaldato 421)</t>
  </si>
  <si>
    <t>cinecity  (volume lordo riscaldato 9537)</t>
  </si>
  <si>
    <t>n. ord</t>
  </si>
  <si>
    <t>R6</t>
  </si>
  <si>
    <t>2015-16</t>
  </si>
  <si>
    <t>serre (volume lordo riscaldato 3171/1133/2262)</t>
  </si>
  <si>
    <t>spoglaitoio serre (volume lordo riscaldato 3171/502/3368)</t>
  </si>
  <si>
    <t>scuola media polizia locale (volume lordo riscaldato 5446)</t>
  </si>
  <si>
    <t>officina meccanica (volume lordo riscaldato 1941/563)</t>
  </si>
  <si>
    <t>SCUOLE</t>
  </si>
  <si>
    <t>FONTANE</t>
  </si>
  <si>
    <t>EDILIZIA POPOLARE</t>
  </si>
  <si>
    <t>POLISPORTIVO</t>
  </si>
  <si>
    <t>IMPIANTI DI SOLLEVAMENTO</t>
  </si>
  <si>
    <t>SEDI COMUNALI</t>
  </si>
  <si>
    <t>informagiovani (volume lordo riscaldato 261)</t>
  </si>
  <si>
    <t>bocciodromo</t>
  </si>
  <si>
    <t>consumi</t>
  </si>
  <si>
    <t>ILLUMINAZIONE PUBBLICA</t>
  </si>
  <si>
    <t>costi</t>
  </si>
  <si>
    <t>IMPIANTI ELETTRICI</t>
  </si>
  <si>
    <t>IMPIANTI TERMICI</t>
  </si>
  <si>
    <t>CASA RIPOSO</t>
  </si>
  <si>
    <t>NUOVI SOGLIATOI</t>
  </si>
  <si>
    <t>SPOGLIATOIO SERRE</t>
  </si>
  <si>
    <t>VVFF</t>
  </si>
  <si>
    <t>SCUOLA MEDIA</t>
  </si>
  <si>
    <t>SCUOLA MEDIA PALESTRA</t>
  </si>
  <si>
    <t>SCUOLA MEDIA VIGLI URBANI</t>
  </si>
  <si>
    <t>SCUOLA MEDIA CUSTODE</t>
  </si>
  <si>
    <t>CENTRO CIVICO</t>
  </si>
  <si>
    <t>SCUOLA MATERNA</t>
  </si>
  <si>
    <t xml:space="preserve">PALASPORT </t>
  </si>
  <si>
    <t>PALASPORT SOTTOTRIBUNE</t>
  </si>
  <si>
    <t>MUNICIPIO</t>
  </si>
  <si>
    <t>SCUOLA ELEMENTARE</t>
  </si>
  <si>
    <t>SCUOLA ELEMENTARE PALESTRA</t>
  </si>
  <si>
    <t>SCUOLA ELEMENTARE MENSA</t>
  </si>
  <si>
    <t>OFFICINA MECCANICA</t>
  </si>
  <si>
    <t>OFFICINA IDRAULICA</t>
  </si>
  <si>
    <t>MAGAZZINO</t>
  </si>
  <si>
    <t>MAGAZZINO UFF PT</t>
  </si>
  <si>
    <t>PROTEZIONE CIVILE</t>
  </si>
  <si>
    <t>OFFICINA DEPOSITO</t>
  </si>
  <si>
    <t>SERRE</t>
  </si>
  <si>
    <t>2015-2016</t>
  </si>
  <si>
    <t>2014-2015</t>
  </si>
  <si>
    <t>2013-2014</t>
  </si>
  <si>
    <t>2012-2013</t>
  </si>
  <si>
    <t>2011-2012</t>
  </si>
  <si>
    <t>ALLOGGIO PEEP</t>
  </si>
  <si>
    <t>CONSUMI TERMICI (MQ)***</t>
  </si>
  <si>
    <t>***</t>
  </si>
  <si>
    <t>Dati ottenuti da diagnosi energetica "allegato G"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</si>
</sst>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6" fillId="0" borderId="0"/>
    <xf numFmtId="0" fontId="7" fillId="0" borderId="0"/>
    <xf numFmtId="0" fontId="4" fillId="0" borderId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164" fontId="0" fillId="0" borderId="0" xfId="0" applyNumberFormat="1" applyBorder="1"/>
    <xf numFmtId="3" fontId="0" fillId="0" borderId="0" xfId="0" applyNumberFormat="1" applyBorder="1"/>
    <xf numFmtId="0" fontId="0" fillId="0" borderId="0" xfId="0" applyBorder="1" applyAlignment="1">
      <alignment horizontal="center"/>
    </xf>
    <xf numFmtId="164" fontId="2" fillId="0" borderId="0" xfId="0" applyNumberFormat="1" applyFont="1" applyBorder="1"/>
    <xf numFmtId="4" fontId="0" fillId="0" borderId="0" xfId="0" applyNumberFormat="1"/>
    <xf numFmtId="164" fontId="0" fillId="0" borderId="0" xfId="0" applyNumberFormat="1"/>
    <xf numFmtId="0" fontId="0" fillId="0" borderId="0" xfId="0" applyFill="1"/>
    <xf numFmtId="164" fontId="0" fillId="0" borderId="0" xfId="0" applyNumberForma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43" fontId="0" fillId="0" borderId="0" xfId="0" applyNumberFormat="1"/>
    <xf numFmtId="43" fontId="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/>
    </xf>
  </cellXfs>
  <cellStyles count="11">
    <cellStyle name="=C:\WINNT35\SYSTEM32\COMMAND.COM" xfId="3"/>
    <cellStyle name="=C:\WINNT35\SYSTEM32\COMMAND.COM 2" xfId="6"/>
    <cellStyle name="Migliaia [0] 2" xfId="5"/>
    <cellStyle name="Normale" xfId="0" builtinId="0"/>
    <cellStyle name="Normale 2" xfId="1"/>
    <cellStyle name="Normale 2 2" xfId="4"/>
    <cellStyle name="Normale 3" xfId="2"/>
    <cellStyle name="Normale 4" xfId="7"/>
    <cellStyle name="Normale 5" xfId="8"/>
    <cellStyle name="Percentuale 2 2" xfId="9"/>
    <cellStyle name="Percentuale 7" xfId="10"/>
  </cellStyles>
  <dxfs count="0"/>
  <tableStyles count="0" defaultTableStyle="TableStyleMedium2" defaultPivotStyle="PivotStyleLight16"/>
  <colors>
    <mruColors>
      <color rgb="FFC1FFEF"/>
      <color rgb="FFC3EFFD"/>
      <color rgb="FF00CC99"/>
      <color rgb="FF233E5F"/>
      <color rgb="FF2B4C73"/>
      <color rgb="FF4070AA"/>
      <color rgb="FF009999"/>
      <color rgb="FF99FF99"/>
      <color rgb="FF66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STS\OSS\Statistica\Diffusione%20dati%20-%20Intra_Internet\Gas_pubblicato%20(solo%20per%20Internet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  <sheetName val="Legenda "/>
      <sheetName val="bilancio"/>
      <sheetName val="GS1"/>
      <sheetName val="GM5"/>
      <sheetName val="approvv"/>
      <sheetName val="GM7"/>
      <sheetName val="GM52"/>
      <sheetName val="GM10"/>
      <sheetName val="GM11"/>
      <sheetName val="GM8"/>
      <sheetName val="GM9"/>
      <sheetName val="GM12"/>
      <sheetName val="GM51"/>
      <sheetName val="GM75"/>
      <sheetName val="trasporto"/>
      <sheetName val="GM58"/>
      <sheetName val="GM62"/>
      <sheetName val="GM18"/>
      <sheetName val="rigass&amp;stock"/>
      <sheetName val="GM19"/>
      <sheetName val="distribuzione"/>
      <sheetName val="GM68"/>
      <sheetName val="GM67"/>
      <sheetName val="GM34"/>
      <sheetName val="GM53"/>
      <sheetName val="GM65"/>
      <sheetName val="GM54"/>
      <sheetName val="GM56"/>
      <sheetName val="GM66"/>
      <sheetName val="GM74"/>
      <sheetName val="GM55"/>
      <sheetName val="GPL e altri gas"/>
      <sheetName val="GM69"/>
      <sheetName val="GM70"/>
      <sheetName val="GM71"/>
      <sheetName val="ingrosso"/>
      <sheetName val="GM57"/>
      <sheetName val="GM6tris"/>
      <sheetName val="GM6"/>
      <sheetName val="GM13"/>
      <sheetName val="GM13-bis"/>
      <sheetName val="GM14"/>
      <sheetName val="GM14-bis"/>
      <sheetName val="GM15"/>
      <sheetName val="GM15-bis"/>
      <sheetName val="dettaglio"/>
      <sheetName val="GM59"/>
      <sheetName val="GM63"/>
      <sheetName val="GM60"/>
      <sheetName val="GM61"/>
      <sheetName val="GM64"/>
      <sheetName val="GM50"/>
      <sheetName val="GM72"/>
      <sheetName val="GM73"/>
      <sheetName val="prezzi"/>
      <sheetName val="GP35"/>
      <sheetName val="GP36"/>
      <sheetName val="GP29"/>
      <sheetName val="GP31"/>
      <sheetName val="GP32"/>
      <sheetName val="GS3"/>
      <sheetName val="GP27"/>
      <sheetName val="GP30"/>
      <sheetName val="GS3 old"/>
      <sheetName val="G27old"/>
      <sheetName val="sicurezza&amp;continuità"/>
      <sheetName val="Q1"/>
      <sheetName val="Q5"/>
      <sheetName val="Q6"/>
      <sheetName val="Q2"/>
      <sheetName val="Q37"/>
      <sheetName val="Q38"/>
      <sheetName val="qualità comm"/>
      <sheetName val="Q33"/>
      <sheetName val="Q34"/>
      <sheetName val="Q35"/>
      <sheetName val="reclami&amp;rimborsi"/>
      <sheetName val="Q3"/>
      <sheetName val="Q20"/>
      <sheetName val="Q4"/>
      <sheetName val="GS2_immissioni"/>
      <sheetName val="GM4_diagramma_bilancio"/>
      <sheetName val="GM6bis_vendite mercato finale"/>
      <sheetName val="GM16_PSV_frequenza_vol_scamb"/>
      <sheetName val="GM35"/>
      <sheetName val="GM36"/>
      <sheetName val="GM18_conferimenti"/>
      <sheetName val="GM20_stoccaggio_mod_ciclica"/>
      <sheetName val="GM21_istanze_concessione"/>
      <sheetName val="GM21bis_progetti GNL"/>
      <sheetName val="GM22_reti_distribuzione_GPL"/>
      <sheetName val="GM23_opzioni tariffarie"/>
      <sheetName val="GP24_corrispettivi_trasporto"/>
      <sheetName val="GP25_corrispettivi_GNL"/>
      <sheetName val="GM17"/>
      <sheetName val="GM55 (2)"/>
    </sheetNames>
    <sheetDataSet>
      <sheetData sheetId="0"/>
      <sheetData sheetId="1"/>
      <sheetData sheetId="2"/>
      <sheetData sheetId="3"/>
      <sheetData sheetId="4">
        <row r="1">
          <cell r="A1" t="str">
            <v xml:space="preserve">BILANCIO DEGLI OPERATORI DEL SETTORE DEL GAS 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zoomScale="110" zoomScaleNormal="110" workbookViewId="0">
      <selection activeCell="R31" sqref="Q31:R31"/>
    </sheetView>
  </sheetViews>
  <sheetFormatPr defaultRowHeight="15" x14ac:dyDescent="0.25"/>
  <cols>
    <col min="1" max="1" width="4.28515625" style="1" bestFit="1" customWidth="1"/>
    <col min="2" max="2" width="44.140625" bestFit="1" customWidth="1"/>
    <col min="3" max="8" width="7.5703125" style="1" bestFit="1" customWidth="1"/>
    <col min="9" max="9" width="7.5703125" bestFit="1" customWidth="1"/>
    <col min="10" max="11" width="9.28515625" style="4" bestFit="1" customWidth="1"/>
    <col min="12" max="12" width="12.140625" style="4" bestFit="1" customWidth="1"/>
    <col min="13" max="13" width="9.5703125" style="4" bestFit="1" customWidth="1"/>
    <col min="14" max="14" width="8.42578125" style="4" bestFit="1" customWidth="1"/>
    <col min="15" max="15" width="6.7109375" style="4" bestFit="1" customWidth="1"/>
    <col min="16" max="16" width="6.140625" style="4" bestFit="1" customWidth="1"/>
    <col min="17" max="17" width="4.140625" style="4" bestFit="1" customWidth="1"/>
    <col min="18" max="18" width="5" style="4" bestFit="1" customWidth="1"/>
    <col min="19" max="19" width="9.140625" style="4"/>
  </cols>
  <sheetData>
    <row r="1" spans="1:17" ht="14.45" customHeight="1" x14ac:dyDescent="0.25">
      <c r="A1" s="25" t="s">
        <v>82</v>
      </c>
      <c r="B1" s="25"/>
      <c r="C1" s="25"/>
      <c r="D1" s="25"/>
      <c r="E1" s="25"/>
      <c r="F1" s="25"/>
      <c r="G1" s="25"/>
      <c r="H1" s="25"/>
      <c r="I1" s="25"/>
      <c r="J1"/>
      <c r="K1"/>
      <c r="L1"/>
      <c r="M1"/>
      <c r="N1"/>
      <c r="O1"/>
      <c r="P1"/>
      <c r="Q1"/>
    </row>
    <row r="2" spans="1:17" x14ac:dyDescent="0.25">
      <c r="J2"/>
      <c r="K2"/>
      <c r="L2"/>
      <c r="M2"/>
      <c r="N2"/>
      <c r="O2"/>
      <c r="P2"/>
      <c r="Q2"/>
    </row>
    <row r="3" spans="1:17" ht="14.45" customHeight="1" x14ac:dyDescent="0.25">
      <c r="A3" s="2" t="s">
        <v>33</v>
      </c>
      <c r="B3" s="3" t="s">
        <v>0</v>
      </c>
      <c r="C3" s="2" t="s">
        <v>1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34</v>
      </c>
      <c r="J3"/>
      <c r="K3"/>
      <c r="L3"/>
      <c r="M3"/>
      <c r="N3"/>
      <c r="O3"/>
      <c r="P3"/>
      <c r="Q3"/>
    </row>
    <row r="4" spans="1:17" ht="14.45" customHeight="1" x14ac:dyDescent="0.25">
      <c r="A4" s="2"/>
      <c r="B4" s="3"/>
      <c r="C4" s="2" t="s">
        <v>2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35</v>
      </c>
      <c r="J4"/>
      <c r="K4"/>
      <c r="L4"/>
      <c r="M4"/>
      <c r="N4"/>
      <c r="O4"/>
      <c r="P4"/>
      <c r="Q4"/>
    </row>
    <row r="5" spans="1:17" ht="7.5" customHeight="1" x14ac:dyDescent="0.25">
      <c r="A5" s="2"/>
      <c r="B5" s="3"/>
      <c r="C5" s="2"/>
      <c r="D5" s="2"/>
      <c r="E5" s="2"/>
      <c r="F5" s="2"/>
      <c r="G5" s="2"/>
      <c r="H5" s="2"/>
      <c r="I5" s="3"/>
      <c r="J5"/>
      <c r="K5"/>
      <c r="L5"/>
      <c r="M5"/>
      <c r="N5"/>
      <c r="O5"/>
      <c r="P5"/>
      <c r="Q5"/>
    </row>
    <row r="6" spans="1:17" ht="14.45" customHeight="1" x14ac:dyDescent="0.25">
      <c r="A6" s="2">
        <v>1</v>
      </c>
      <c r="B6" s="3" t="s">
        <v>13</v>
      </c>
      <c r="C6" s="2">
        <v>19265</v>
      </c>
      <c r="D6" s="2">
        <v>20271</v>
      </c>
      <c r="E6" s="2">
        <v>20702</v>
      </c>
      <c r="F6" s="2">
        <v>20773</v>
      </c>
      <c r="G6" s="2">
        <v>18211</v>
      </c>
      <c r="H6" s="2">
        <v>18696</v>
      </c>
      <c r="I6" s="2">
        <v>32072</v>
      </c>
      <c r="J6"/>
      <c r="K6"/>
      <c r="L6"/>
      <c r="M6"/>
      <c r="N6"/>
      <c r="O6"/>
      <c r="P6"/>
      <c r="Q6"/>
    </row>
    <row r="7" spans="1:17" ht="14.45" customHeight="1" x14ac:dyDescent="0.25">
      <c r="A7" s="2">
        <v>2</v>
      </c>
      <c r="B7" s="3" t="s">
        <v>20</v>
      </c>
      <c r="C7" s="2">
        <v>23293</v>
      </c>
      <c r="D7" s="2">
        <v>21672</v>
      </c>
      <c r="E7" s="2">
        <v>22915</v>
      </c>
      <c r="F7" s="2">
        <v>23542</v>
      </c>
      <c r="G7" s="2">
        <v>19745</v>
      </c>
      <c r="H7" s="2">
        <v>20564</v>
      </c>
      <c r="I7" s="2">
        <v>33503</v>
      </c>
      <c r="J7"/>
      <c r="K7"/>
      <c r="L7"/>
      <c r="M7"/>
      <c r="N7"/>
      <c r="O7"/>
      <c r="P7"/>
      <c r="Q7"/>
    </row>
    <row r="8" spans="1:17" ht="14.45" customHeight="1" x14ac:dyDescent="0.25">
      <c r="A8" s="2">
        <v>3</v>
      </c>
      <c r="B8" s="3" t="s">
        <v>24</v>
      </c>
      <c r="C8" s="2">
        <v>28762</v>
      </c>
      <c r="D8" s="2">
        <v>31972</v>
      </c>
      <c r="E8" s="2">
        <v>32663</v>
      </c>
      <c r="F8" s="2">
        <v>37794</v>
      </c>
      <c r="G8" s="2">
        <v>25856</v>
      </c>
      <c r="H8" s="2">
        <v>27307</v>
      </c>
      <c r="I8" s="2">
        <v>33890</v>
      </c>
      <c r="J8"/>
      <c r="K8"/>
      <c r="L8"/>
      <c r="M8"/>
      <c r="N8"/>
      <c r="O8"/>
      <c r="P8"/>
      <c r="Q8"/>
    </row>
    <row r="9" spans="1:17" ht="14.45" customHeight="1" x14ac:dyDescent="0.25">
      <c r="A9" s="2">
        <v>4</v>
      </c>
      <c r="B9" s="3" t="s">
        <v>25</v>
      </c>
      <c r="C9" s="2">
        <v>10596</v>
      </c>
      <c r="D9" s="2">
        <v>14732</v>
      </c>
      <c r="E9" s="2">
        <v>13471</v>
      </c>
      <c r="F9" s="2">
        <v>15613</v>
      </c>
      <c r="G9" s="2">
        <v>9784</v>
      </c>
      <c r="H9" s="2">
        <v>11819</v>
      </c>
      <c r="I9" s="2">
        <v>11748</v>
      </c>
      <c r="J9"/>
      <c r="K9"/>
      <c r="L9"/>
      <c r="M9"/>
      <c r="N9"/>
      <c r="O9"/>
      <c r="P9"/>
      <c r="Q9"/>
    </row>
    <row r="10" spans="1:17" ht="14.45" customHeight="1" x14ac:dyDescent="0.25">
      <c r="A10" s="2">
        <v>5</v>
      </c>
      <c r="B10" s="3" t="s">
        <v>26</v>
      </c>
      <c r="C10" s="2">
        <v>2558</v>
      </c>
      <c r="D10" s="2">
        <v>1428</v>
      </c>
      <c r="E10" s="2">
        <v>2347</v>
      </c>
      <c r="F10" s="2">
        <v>2965</v>
      </c>
      <c r="G10" s="2">
        <v>2248</v>
      </c>
      <c r="H10" s="2">
        <v>2375</v>
      </c>
      <c r="I10" s="2">
        <v>2820</v>
      </c>
      <c r="J10"/>
      <c r="K10"/>
      <c r="L10"/>
      <c r="M10"/>
      <c r="N10"/>
      <c r="O10"/>
      <c r="P10"/>
      <c r="Q10"/>
    </row>
    <row r="11" spans="1:17" x14ac:dyDescent="0.25">
      <c r="A11" s="2">
        <v>6</v>
      </c>
      <c r="B11" s="3" t="s">
        <v>16</v>
      </c>
      <c r="C11" s="2">
        <v>29064</v>
      </c>
      <c r="D11" s="2">
        <v>26937</v>
      </c>
      <c r="E11" s="2">
        <v>30703</v>
      </c>
      <c r="F11" s="2">
        <v>28748</v>
      </c>
      <c r="G11" s="2">
        <v>16742</v>
      </c>
      <c r="H11" s="2">
        <v>20230</v>
      </c>
      <c r="I11" s="2">
        <v>27184</v>
      </c>
      <c r="J11"/>
      <c r="K11"/>
      <c r="L11"/>
      <c r="M11"/>
      <c r="N11"/>
      <c r="O11"/>
      <c r="P11"/>
      <c r="Q11"/>
    </row>
    <row r="12" spans="1:17" x14ac:dyDescent="0.25">
      <c r="A12" s="2">
        <v>7</v>
      </c>
      <c r="B12" s="3" t="s">
        <v>17</v>
      </c>
      <c r="C12" s="2">
        <v>9631</v>
      </c>
      <c r="D12" s="2">
        <v>9008</v>
      </c>
      <c r="E12" s="2">
        <v>10047</v>
      </c>
      <c r="F12" s="2">
        <v>12535</v>
      </c>
      <c r="G12" s="2">
        <v>7240</v>
      </c>
      <c r="H12" s="2">
        <v>9021</v>
      </c>
      <c r="I12" s="2">
        <v>10774</v>
      </c>
      <c r="J12"/>
      <c r="K12"/>
      <c r="L12"/>
      <c r="M12"/>
      <c r="N12"/>
      <c r="O12"/>
      <c r="P12"/>
      <c r="Q12"/>
    </row>
    <row r="13" spans="1:17" x14ac:dyDescent="0.25">
      <c r="A13" s="2">
        <v>8</v>
      </c>
      <c r="B13" s="3" t="s">
        <v>38</v>
      </c>
      <c r="C13" s="2">
        <v>9806</v>
      </c>
      <c r="D13" s="2">
        <v>17380</v>
      </c>
      <c r="E13" s="2">
        <v>14230</v>
      </c>
      <c r="F13" s="2">
        <v>14730</v>
      </c>
      <c r="G13" s="2">
        <v>9360</v>
      </c>
      <c r="H13" s="2">
        <v>11311</v>
      </c>
      <c r="I13" s="2">
        <v>12088</v>
      </c>
      <c r="J13"/>
      <c r="K13"/>
      <c r="L13"/>
      <c r="M13"/>
      <c r="N13"/>
      <c r="O13"/>
      <c r="P13"/>
      <c r="Q13"/>
    </row>
    <row r="14" spans="1:17" x14ac:dyDescent="0.25">
      <c r="A14" s="2">
        <v>9</v>
      </c>
      <c r="B14" s="3" t="s">
        <v>18</v>
      </c>
      <c r="C14" s="2">
        <v>447</v>
      </c>
      <c r="D14" s="2">
        <v>0</v>
      </c>
      <c r="E14" s="2">
        <v>643</v>
      </c>
      <c r="F14" s="2">
        <v>775</v>
      </c>
      <c r="G14" s="2">
        <v>499</v>
      </c>
      <c r="H14" s="2">
        <v>602</v>
      </c>
      <c r="I14" s="2">
        <v>639</v>
      </c>
      <c r="J14"/>
      <c r="K14"/>
      <c r="L14"/>
      <c r="M14"/>
      <c r="N14"/>
      <c r="O14"/>
      <c r="P14"/>
      <c r="Q14"/>
    </row>
    <row r="15" spans="1:17" ht="14.45" customHeight="1" x14ac:dyDescent="0.25">
      <c r="A15" s="2">
        <v>10</v>
      </c>
      <c r="B15" s="3" t="s">
        <v>23</v>
      </c>
      <c r="C15" s="2">
        <v>34081</v>
      </c>
      <c r="D15" s="2">
        <v>33812</v>
      </c>
      <c r="E15" s="2">
        <v>23658</v>
      </c>
      <c r="F15" s="2">
        <v>31091</v>
      </c>
      <c r="G15" s="2">
        <v>23166</v>
      </c>
      <c r="H15" s="2">
        <v>25168</v>
      </c>
      <c r="I15" s="2">
        <v>32072</v>
      </c>
      <c r="J15"/>
      <c r="K15"/>
      <c r="L15"/>
      <c r="M15"/>
      <c r="N15"/>
      <c r="O15"/>
      <c r="P15"/>
      <c r="Q15"/>
    </row>
    <row r="16" spans="1:17" ht="14.45" customHeight="1" x14ac:dyDescent="0.25">
      <c r="A16" s="2">
        <v>11</v>
      </c>
      <c r="B16" s="3" t="s">
        <v>19</v>
      </c>
      <c r="C16" s="2">
        <v>9851</v>
      </c>
      <c r="D16" s="2">
        <v>12622</v>
      </c>
      <c r="E16" s="2">
        <v>12959</v>
      </c>
      <c r="F16" s="2">
        <v>15321</v>
      </c>
      <c r="G16" s="2">
        <v>10596</v>
      </c>
      <c r="H16" s="2">
        <v>9873</v>
      </c>
      <c r="I16" s="2">
        <v>11697</v>
      </c>
      <c r="J16"/>
      <c r="K16"/>
      <c r="L16"/>
      <c r="M16"/>
      <c r="N16"/>
      <c r="O16"/>
      <c r="P16"/>
      <c r="Q16"/>
    </row>
    <row r="17" spans="1:17" ht="14.45" customHeight="1" x14ac:dyDescent="0.25">
      <c r="A17" s="2">
        <v>12</v>
      </c>
      <c r="B17" s="3" t="s">
        <v>46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/>
      <c r="K17"/>
      <c r="L17"/>
      <c r="M17"/>
      <c r="N17"/>
      <c r="O17"/>
      <c r="P17"/>
      <c r="Q17"/>
    </row>
    <row r="18" spans="1:17" ht="14.45" customHeight="1" x14ac:dyDescent="0.25">
      <c r="A18" s="2">
        <v>13</v>
      </c>
      <c r="B18" s="3" t="s">
        <v>32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/>
      <c r="K18"/>
      <c r="L18"/>
      <c r="M18"/>
      <c r="N18"/>
      <c r="O18"/>
      <c r="P18"/>
      <c r="Q18"/>
    </row>
    <row r="19" spans="1:17" ht="14.45" customHeight="1" x14ac:dyDescent="0.25">
      <c r="A19" s="2">
        <v>14</v>
      </c>
      <c r="B19" s="3" t="s">
        <v>21</v>
      </c>
      <c r="C19" s="2">
        <v>70237</v>
      </c>
      <c r="D19" s="2">
        <v>65089</v>
      </c>
      <c r="E19" s="2">
        <v>65089</v>
      </c>
      <c r="F19" s="2">
        <v>54791</v>
      </c>
      <c r="G19" s="2">
        <v>49291</v>
      </c>
      <c r="H19" s="2">
        <v>49493</v>
      </c>
      <c r="I19" s="2">
        <v>85578</v>
      </c>
      <c r="J19"/>
      <c r="K19"/>
      <c r="L19"/>
      <c r="M19"/>
      <c r="N19"/>
      <c r="O19"/>
      <c r="P19"/>
      <c r="Q19"/>
    </row>
    <row r="20" spans="1:17" ht="14.45" customHeight="1" x14ac:dyDescent="0.25">
      <c r="A20" s="2">
        <v>15</v>
      </c>
      <c r="B20" s="3" t="s">
        <v>22</v>
      </c>
      <c r="C20" s="2">
        <v>2514</v>
      </c>
      <c r="D20" s="2">
        <v>3929</v>
      </c>
      <c r="E20" s="2">
        <v>3505</v>
      </c>
      <c r="F20" s="2">
        <v>4545</v>
      </c>
      <c r="G20" s="2">
        <v>2961</v>
      </c>
      <c r="H20" s="2">
        <v>3405</v>
      </c>
      <c r="I20" s="2">
        <v>4267</v>
      </c>
      <c r="J20"/>
      <c r="K20"/>
      <c r="L20"/>
      <c r="M20"/>
      <c r="N20"/>
      <c r="O20"/>
      <c r="P20"/>
      <c r="Q20"/>
    </row>
    <row r="21" spans="1:17" ht="14.45" customHeight="1" x14ac:dyDescent="0.25">
      <c r="A21" s="2">
        <v>16</v>
      </c>
      <c r="B21" s="3" t="s">
        <v>14</v>
      </c>
      <c r="C21" s="2">
        <v>21324</v>
      </c>
      <c r="D21" s="2">
        <v>14312</v>
      </c>
      <c r="E21" s="2">
        <v>16835</v>
      </c>
      <c r="F21" s="2">
        <v>18894</v>
      </c>
      <c r="G21" s="2">
        <v>15725</v>
      </c>
      <c r="H21" s="2">
        <v>19076</v>
      </c>
      <c r="I21" s="2">
        <v>19076</v>
      </c>
      <c r="J21"/>
      <c r="K21"/>
      <c r="L21"/>
      <c r="M21"/>
      <c r="N21"/>
      <c r="O21"/>
      <c r="P21"/>
      <c r="Q21"/>
    </row>
    <row r="22" spans="1:17" ht="14.45" customHeight="1" x14ac:dyDescent="0.25">
      <c r="A22" s="2">
        <v>17</v>
      </c>
      <c r="B22" s="3" t="s">
        <v>31</v>
      </c>
      <c r="C22" s="2">
        <v>1921</v>
      </c>
      <c r="D22" s="2">
        <v>1863</v>
      </c>
      <c r="E22" s="2">
        <v>2089</v>
      </c>
      <c r="F22" s="2">
        <v>3150</v>
      </c>
      <c r="G22" s="2">
        <v>1718</v>
      </c>
      <c r="H22" s="2">
        <v>1879</v>
      </c>
      <c r="I22" s="2">
        <v>2687</v>
      </c>
      <c r="J22"/>
      <c r="K22"/>
      <c r="L22"/>
      <c r="M22"/>
      <c r="N22"/>
      <c r="O22"/>
      <c r="P22"/>
      <c r="Q22"/>
    </row>
    <row r="23" spans="1:17" ht="14.45" customHeight="1" x14ac:dyDescent="0.25">
      <c r="A23" s="2">
        <v>18</v>
      </c>
      <c r="B23" s="3" t="s">
        <v>15</v>
      </c>
      <c r="C23" s="2">
        <v>5765</v>
      </c>
      <c r="D23" s="2">
        <v>4818</v>
      </c>
      <c r="E23" s="2">
        <v>4981</v>
      </c>
      <c r="F23" s="2">
        <v>6600</v>
      </c>
      <c r="G23" s="2">
        <v>4358</v>
      </c>
      <c r="H23" s="2">
        <v>4657</v>
      </c>
      <c r="I23" s="2">
        <v>6672</v>
      </c>
      <c r="J23"/>
      <c r="K23"/>
      <c r="L23"/>
      <c r="M23"/>
      <c r="N23"/>
      <c r="O23"/>
      <c r="P23"/>
      <c r="Q23"/>
    </row>
    <row r="24" spans="1:17" x14ac:dyDescent="0.25">
      <c r="A24" s="2">
        <v>19</v>
      </c>
      <c r="B24" s="3" t="s">
        <v>39</v>
      </c>
      <c r="C24" s="24">
        <v>6197</v>
      </c>
      <c r="D24" s="24">
        <v>7559</v>
      </c>
      <c r="E24" s="24">
        <v>4067</v>
      </c>
      <c r="F24" s="24">
        <v>6236</v>
      </c>
      <c r="G24" s="2">
        <v>813</v>
      </c>
      <c r="H24" s="2">
        <v>2077</v>
      </c>
      <c r="I24" s="2">
        <v>1072</v>
      </c>
      <c r="J24"/>
      <c r="K24"/>
      <c r="L24"/>
      <c r="M24"/>
      <c r="N24"/>
      <c r="O24"/>
      <c r="P24"/>
      <c r="Q24"/>
    </row>
    <row r="25" spans="1:17" x14ac:dyDescent="0.25">
      <c r="A25" s="2">
        <v>20</v>
      </c>
      <c r="B25" s="3" t="s">
        <v>27</v>
      </c>
      <c r="C25" s="24"/>
      <c r="D25" s="24"/>
      <c r="E25" s="24"/>
      <c r="F25" s="24"/>
      <c r="G25" s="2">
        <v>662</v>
      </c>
      <c r="H25" s="2">
        <v>1690</v>
      </c>
      <c r="I25" s="2">
        <v>872</v>
      </c>
      <c r="J25"/>
      <c r="K25"/>
      <c r="L25"/>
      <c r="M25"/>
      <c r="N25"/>
      <c r="O25"/>
      <c r="P25"/>
      <c r="Q25"/>
    </row>
    <row r="26" spans="1:17" x14ac:dyDescent="0.25">
      <c r="A26" s="2">
        <v>21</v>
      </c>
      <c r="B26" s="3" t="s">
        <v>28</v>
      </c>
      <c r="C26" s="24"/>
      <c r="D26" s="24"/>
      <c r="E26" s="24"/>
      <c r="F26" s="24"/>
      <c r="G26" s="2">
        <v>0</v>
      </c>
      <c r="H26" s="2">
        <v>0</v>
      </c>
      <c r="I26" s="2">
        <v>1752</v>
      </c>
      <c r="J26"/>
      <c r="K26"/>
      <c r="L26"/>
      <c r="M26"/>
      <c r="N26"/>
      <c r="O26"/>
      <c r="P26"/>
      <c r="Q26"/>
    </row>
    <row r="27" spans="1:17" ht="14.45" customHeight="1" x14ac:dyDescent="0.25">
      <c r="A27" s="2">
        <v>22</v>
      </c>
      <c r="B27" s="3" t="s">
        <v>29</v>
      </c>
      <c r="C27" s="2">
        <v>6414</v>
      </c>
      <c r="D27" s="2">
        <v>22102</v>
      </c>
      <c r="E27" s="2">
        <v>11888</v>
      </c>
      <c r="F27" s="2">
        <v>17667</v>
      </c>
      <c r="G27" s="2">
        <v>2572</v>
      </c>
      <c r="H27" s="2">
        <v>3107</v>
      </c>
      <c r="I27" s="2">
        <v>4903</v>
      </c>
      <c r="J27"/>
      <c r="K27"/>
      <c r="L27"/>
      <c r="M27"/>
      <c r="N27"/>
      <c r="O27"/>
      <c r="P27"/>
      <c r="Q27"/>
    </row>
    <row r="28" spans="1:17" ht="14.45" customHeight="1" x14ac:dyDescent="0.25">
      <c r="A28" s="2">
        <v>23</v>
      </c>
      <c r="B28" s="3" t="s">
        <v>30</v>
      </c>
      <c r="C28" s="2">
        <v>0</v>
      </c>
      <c r="D28" s="2">
        <v>0</v>
      </c>
      <c r="E28" s="2">
        <v>0</v>
      </c>
      <c r="F28" s="2">
        <v>0</v>
      </c>
      <c r="G28" s="2">
        <v>620</v>
      </c>
      <c r="H28" s="2">
        <v>749</v>
      </c>
      <c r="I28" s="2">
        <v>1182</v>
      </c>
      <c r="J28"/>
      <c r="K28"/>
      <c r="L28"/>
      <c r="M28"/>
      <c r="N28"/>
      <c r="O28"/>
      <c r="P28"/>
      <c r="Q28"/>
    </row>
    <row r="29" spans="1:17" x14ac:dyDescent="0.25">
      <c r="A29" s="2">
        <v>24</v>
      </c>
      <c r="B29" s="3" t="s">
        <v>36</v>
      </c>
      <c r="C29" s="24">
        <v>31395</v>
      </c>
      <c r="D29" s="24">
        <v>37866</v>
      </c>
      <c r="E29" s="24">
        <v>1121</v>
      </c>
      <c r="F29" s="2">
        <v>0</v>
      </c>
      <c r="G29" s="2">
        <v>0</v>
      </c>
      <c r="H29" s="2">
        <v>0</v>
      </c>
      <c r="I29" s="2">
        <v>4471</v>
      </c>
      <c r="J29"/>
      <c r="K29"/>
      <c r="L29"/>
      <c r="M29"/>
      <c r="N29"/>
      <c r="O29"/>
      <c r="P29"/>
      <c r="Q29"/>
    </row>
    <row r="30" spans="1:17" x14ac:dyDescent="0.25">
      <c r="A30" s="2">
        <v>25</v>
      </c>
      <c r="B30" s="3" t="s">
        <v>37</v>
      </c>
      <c r="C30" s="24"/>
      <c r="D30" s="24"/>
      <c r="E30" s="24"/>
      <c r="F30" s="2">
        <v>0</v>
      </c>
      <c r="G30" s="2">
        <v>2968</v>
      </c>
      <c r="H30" s="2">
        <v>2772</v>
      </c>
      <c r="I30" s="2">
        <v>6657</v>
      </c>
      <c r="J30"/>
      <c r="K30"/>
      <c r="L30"/>
      <c r="M30"/>
      <c r="N30"/>
      <c r="O30"/>
      <c r="P30"/>
      <c r="Q30"/>
    </row>
    <row r="31" spans="1:17" ht="14.45" customHeight="1" x14ac:dyDescent="0.25">
      <c r="A31" s="2">
        <v>26</v>
      </c>
      <c r="B31" s="3" t="s">
        <v>47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/>
      <c r="K31"/>
      <c r="L31"/>
      <c r="M31"/>
      <c r="N31"/>
      <c r="O31"/>
      <c r="P31"/>
      <c r="Q31"/>
    </row>
    <row r="32" spans="1:17" x14ac:dyDescent="0.25">
      <c r="J32"/>
      <c r="K32"/>
      <c r="L32"/>
      <c r="M32"/>
      <c r="N32"/>
      <c r="O32"/>
      <c r="P32"/>
      <c r="Q32"/>
    </row>
    <row r="33" spans="1:17" x14ac:dyDescent="0.25">
      <c r="J33"/>
      <c r="K33"/>
      <c r="L33"/>
      <c r="M33"/>
      <c r="N33"/>
      <c r="O33"/>
      <c r="P33"/>
      <c r="Q33"/>
    </row>
    <row r="34" spans="1:17" x14ac:dyDescent="0.25">
      <c r="J34"/>
      <c r="K34"/>
      <c r="L34"/>
      <c r="M34"/>
      <c r="N34"/>
      <c r="O34"/>
      <c r="P34"/>
      <c r="Q34"/>
    </row>
    <row r="35" spans="1:17" ht="14.45" customHeight="1" x14ac:dyDescent="0.25">
      <c r="A35" s="1" t="s">
        <v>83</v>
      </c>
      <c r="B35" s="27" t="s">
        <v>84</v>
      </c>
      <c r="C35" s="27"/>
      <c r="D35" s="27"/>
      <c r="E35" s="27"/>
      <c r="F35" s="27"/>
      <c r="G35" s="27"/>
      <c r="H35" s="27"/>
      <c r="I35" s="27"/>
      <c r="J35" s="27"/>
      <c r="K35"/>
      <c r="L35"/>
      <c r="M35"/>
      <c r="N35"/>
      <c r="O35"/>
      <c r="P35"/>
      <c r="Q35"/>
    </row>
    <row r="36" spans="1:17" ht="14.45" customHeight="1" x14ac:dyDescent="0.25">
      <c r="J36"/>
      <c r="K36"/>
      <c r="L36"/>
      <c r="M36"/>
      <c r="N36"/>
      <c r="O36"/>
      <c r="P36"/>
      <c r="Q36"/>
    </row>
    <row r="37" spans="1:17" x14ac:dyDescent="0.25">
      <c r="J37"/>
      <c r="K37"/>
      <c r="L37"/>
      <c r="M37"/>
      <c r="N37"/>
      <c r="O37"/>
      <c r="P37"/>
      <c r="Q37"/>
    </row>
    <row r="38" spans="1:17" x14ac:dyDescent="0.25">
      <c r="J38"/>
      <c r="K38"/>
      <c r="L38"/>
      <c r="M38"/>
      <c r="N38"/>
      <c r="O38"/>
      <c r="P38"/>
      <c r="Q38"/>
    </row>
    <row r="39" spans="1:17" x14ac:dyDescent="0.25">
      <c r="J39"/>
      <c r="K39"/>
      <c r="L39"/>
      <c r="M39"/>
      <c r="N39"/>
      <c r="O39"/>
      <c r="P39"/>
      <c r="Q39"/>
    </row>
    <row r="40" spans="1:17" x14ac:dyDescent="0.25">
      <c r="J40"/>
      <c r="K40"/>
      <c r="L40"/>
      <c r="M40"/>
      <c r="N40"/>
      <c r="O40"/>
      <c r="P40"/>
      <c r="Q40"/>
    </row>
    <row r="41" spans="1:17" x14ac:dyDescent="0.25">
      <c r="J41"/>
      <c r="K41"/>
      <c r="L41"/>
      <c r="M41"/>
      <c r="N41"/>
      <c r="O41"/>
      <c r="P41"/>
      <c r="Q41"/>
    </row>
  </sheetData>
  <mergeCells count="9">
    <mergeCell ref="B35:J35"/>
    <mergeCell ref="F24:F26"/>
    <mergeCell ref="A1:I1"/>
    <mergeCell ref="C29:C30"/>
    <mergeCell ref="D29:D30"/>
    <mergeCell ref="E29:E30"/>
    <mergeCell ref="C24:C26"/>
    <mergeCell ref="D24:D26"/>
    <mergeCell ref="E24:E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zoomScale="80" zoomScaleNormal="80" workbookViewId="0">
      <selection activeCell="A52" sqref="A52"/>
    </sheetView>
  </sheetViews>
  <sheetFormatPr defaultRowHeight="15" x14ac:dyDescent="0.25"/>
  <cols>
    <col min="1" max="1" width="71.5703125" bestFit="1" customWidth="1"/>
    <col min="2" max="2" width="6.5703125" customWidth="1"/>
    <col min="3" max="3" width="14.28515625" customWidth="1"/>
    <col min="4" max="4" width="9.85546875" customWidth="1"/>
    <col min="5" max="5" width="6.5703125" bestFit="1" customWidth="1"/>
    <col min="6" max="6" width="12.5703125" bestFit="1" customWidth="1"/>
    <col min="7" max="7" width="9.85546875" bestFit="1" customWidth="1"/>
    <col min="8" max="8" width="6.5703125" bestFit="1" customWidth="1"/>
    <col min="9" max="10" width="14.28515625" bestFit="1" customWidth="1"/>
    <col min="11" max="11" width="6.5703125" customWidth="1"/>
    <col min="12" max="12" width="13.28515625" customWidth="1"/>
    <col min="13" max="13" width="9.85546875" customWidth="1"/>
    <col min="14" max="14" width="6.5703125" customWidth="1"/>
    <col min="15" max="15" width="14.140625" customWidth="1"/>
    <col min="16" max="16" width="12.28515625" customWidth="1"/>
  </cols>
  <sheetData>
    <row r="1" spans="1:17" s="5" customFormat="1" x14ac:dyDescent="0.25">
      <c r="B1" s="26">
        <v>2012</v>
      </c>
      <c r="C1" s="26"/>
      <c r="D1" s="26"/>
      <c r="E1" s="20"/>
      <c r="F1" s="21">
        <v>2013</v>
      </c>
      <c r="G1" s="21"/>
      <c r="H1" s="21"/>
      <c r="I1" s="26">
        <v>2014</v>
      </c>
      <c r="J1" s="26"/>
      <c r="K1" s="20"/>
      <c r="L1" s="26">
        <v>2015</v>
      </c>
      <c r="M1" s="26"/>
      <c r="N1" s="20"/>
      <c r="O1" s="26">
        <v>2016</v>
      </c>
      <c r="P1" s="26"/>
    </row>
    <row r="2" spans="1:17" s="5" customFormat="1" x14ac:dyDescent="0.25">
      <c r="B2" s="20"/>
      <c r="C2" s="16" t="s">
        <v>50</v>
      </c>
      <c r="D2" s="16" t="s">
        <v>48</v>
      </c>
      <c r="E2" s="20"/>
      <c r="F2" s="16" t="s">
        <v>50</v>
      </c>
      <c r="G2" s="16" t="s">
        <v>48</v>
      </c>
      <c r="H2" s="20"/>
      <c r="I2" s="16" t="s">
        <v>50</v>
      </c>
      <c r="J2" s="16" t="s">
        <v>48</v>
      </c>
      <c r="K2" s="20"/>
      <c r="L2" s="16" t="s">
        <v>50</v>
      </c>
      <c r="M2" s="16" t="s">
        <v>48</v>
      </c>
      <c r="N2" s="20"/>
      <c r="O2" s="16" t="s">
        <v>50</v>
      </c>
      <c r="P2" s="16" t="s">
        <v>48</v>
      </c>
    </row>
    <row r="3" spans="1:17" x14ac:dyDescent="0.25">
      <c r="B3" s="19"/>
      <c r="C3" s="6"/>
      <c r="D3" s="6"/>
      <c r="E3" s="19"/>
      <c r="F3" s="6"/>
      <c r="G3" s="6"/>
      <c r="H3" s="19"/>
      <c r="I3" s="6"/>
      <c r="J3" s="6"/>
      <c r="K3" s="19"/>
      <c r="L3" s="6"/>
      <c r="M3" s="6"/>
      <c r="N3" s="19"/>
      <c r="O3" s="6"/>
      <c r="P3" s="6"/>
    </row>
    <row r="4" spans="1:17" x14ac:dyDescent="0.25">
      <c r="A4" s="5" t="s">
        <v>51</v>
      </c>
      <c r="B4" s="10"/>
    </row>
    <row r="5" spans="1:17" x14ac:dyDescent="0.25">
      <c r="A5" t="s">
        <v>49</v>
      </c>
      <c r="B5" s="13"/>
      <c r="C5" s="8">
        <v>778475.88489999995</v>
      </c>
      <c r="D5" s="9">
        <v>3401375</v>
      </c>
      <c r="E5" s="13"/>
      <c r="F5" s="8">
        <v>695971.70380000002</v>
      </c>
      <c r="G5" s="9">
        <v>3072133</v>
      </c>
      <c r="H5" s="13"/>
      <c r="I5" s="8">
        <v>820582.03000000014</v>
      </c>
      <c r="J5" s="9">
        <v>3494306</v>
      </c>
      <c r="K5" s="13"/>
      <c r="L5" s="8">
        <v>662489.18599999987</v>
      </c>
      <c r="M5" s="9">
        <v>3245460.79</v>
      </c>
      <c r="N5" s="13"/>
      <c r="O5" s="8">
        <v>632631.69539999997</v>
      </c>
      <c r="P5" s="9">
        <v>3231838.79</v>
      </c>
      <c r="Q5" s="23"/>
    </row>
    <row r="6" spans="1:17" x14ac:dyDescent="0.25">
      <c r="A6" t="s">
        <v>45</v>
      </c>
      <c r="B6" s="13"/>
      <c r="C6" s="8">
        <v>133158.71</v>
      </c>
      <c r="D6" s="9">
        <v>542266</v>
      </c>
      <c r="E6" s="13"/>
      <c r="F6" s="8">
        <v>132485.4</v>
      </c>
      <c r="G6" s="9">
        <v>513408.11300000001</v>
      </c>
      <c r="H6" s="13"/>
      <c r="I6" s="8">
        <v>95943.12</v>
      </c>
      <c r="J6" s="9">
        <v>437930</v>
      </c>
      <c r="K6" s="13"/>
      <c r="L6" s="8">
        <v>106248.4056</v>
      </c>
      <c r="M6" s="9">
        <v>526357</v>
      </c>
      <c r="N6" s="13"/>
      <c r="O6" s="8">
        <v>104589.929</v>
      </c>
      <c r="P6" s="9">
        <v>537913</v>
      </c>
      <c r="Q6" s="22"/>
    </row>
    <row r="7" spans="1:17" x14ac:dyDescent="0.25">
      <c r="A7" t="s">
        <v>40</v>
      </c>
      <c r="B7" s="13"/>
      <c r="C7" s="8">
        <v>43693.876799999998</v>
      </c>
      <c r="D7" s="9">
        <v>176439</v>
      </c>
      <c r="E7" s="13"/>
      <c r="F7" s="8">
        <v>45453.616199999997</v>
      </c>
      <c r="G7" s="9">
        <v>155405</v>
      </c>
      <c r="H7" s="13"/>
      <c r="I7" s="8">
        <v>41951.399999999994</v>
      </c>
      <c r="J7" s="9">
        <v>168719</v>
      </c>
      <c r="K7" s="13"/>
      <c r="L7" s="8">
        <v>36841.648999999998</v>
      </c>
      <c r="M7" s="9">
        <v>169294</v>
      </c>
      <c r="N7" s="13"/>
      <c r="O7" s="8">
        <v>34603.628599999996</v>
      </c>
      <c r="P7" s="9">
        <v>177077</v>
      </c>
    </row>
    <row r="8" spans="1:17" x14ac:dyDescent="0.25">
      <c r="A8" t="s">
        <v>43</v>
      </c>
      <c r="B8" s="13"/>
      <c r="C8" s="8">
        <v>68559.010000000009</v>
      </c>
      <c r="D8" s="9">
        <v>406585</v>
      </c>
      <c r="E8" s="13"/>
      <c r="F8" s="8">
        <v>55244.92</v>
      </c>
      <c r="G8" s="9">
        <v>369775</v>
      </c>
      <c r="H8" s="13"/>
      <c r="I8" s="8">
        <v>67202.09</v>
      </c>
      <c r="J8" s="9">
        <v>230490</v>
      </c>
      <c r="K8" s="13"/>
      <c r="L8" s="8">
        <v>52212.871999999996</v>
      </c>
      <c r="M8" s="9">
        <v>213205</v>
      </c>
      <c r="N8" s="13"/>
      <c r="O8" s="8">
        <v>49194.157599999991</v>
      </c>
      <c r="P8" s="9">
        <v>227436</v>
      </c>
    </row>
    <row r="9" spans="1:17" x14ac:dyDescent="0.25">
      <c r="A9" t="s">
        <v>42</v>
      </c>
      <c r="B9" s="13"/>
      <c r="C9" s="8">
        <v>7894.6399999999994</v>
      </c>
      <c r="D9" s="9">
        <v>28931</v>
      </c>
      <c r="E9" s="13"/>
      <c r="F9" s="8">
        <v>7237.4900000000016</v>
      </c>
      <c r="G9" s="9">
        <v>28696</v>
      </c>
      <c r="H9" s="13"/>
      <c r="I9" s="8">
        <v>5648.23</v>
      </c>
      <c r="J9" s="9">
        <v>22998</v>
      </c>
      <c r="K9" s="13"/>
      <c r="L9" s="8">
        <v>5417.4287999999997</v>
      </c>
      <c r="M9" s="9">
        <v>23745</v>
      </c>
      <c r="N9" s="13"/>
      <c r="O9" s="8">
        <v>5233.2754000000004</v>
      </c>
      <c r="P9" s="9">
        <v>24343</v>
      </c>
    </row>
    <row r="10" spans="1:17" x14ac:dyDescent="0.25">
      <c r="A10" t="s">
        <v>41</v>
      </c>
      <c r="B10" s="13"/>
      <c r="C10" s="8">
        <v>48570.703499999996</v>
      </c>
      <c r="D10" s="9">
        <v>185391</v>
      </c>
      <c r="E10" s="13"/>
      <c r="F10" s="8">
        <v>41609.267700000004</v>
      </c>
      <c r="G10" s="9">
        <v>161890</v>
      </c>
      <c r="H10" s="13"/>
      <c r="I10" s="8">
        <v>29679.039999999997</v>
      </c>
      <c r="J10" s="9">
        <v>104934</v>
      </c>
      <c r="K10" s="13"/>
      <c r="L10" s="8">
        <v>37868.702400000002</v>
      </c>
      <c r="M10" s="9">
        <v>160249</v>
      </c>
      <c r="N10" s="13"/>
      <c r="O10" s="8">
        <v>34586.072800000009</v>
      </c>
      <c r="P10" s="9">
        <v>147073</v>
      </c>
    </row>
    <row r="11" spans="1:17" x14ac:dyDescent="0.25">
      <c r="A11" t="s">
        <v>44</v>
      </c>
      <c r="B11" s="13"/>
      <c r="C11" s="8">
        <v>203.46</v>
      </c>
      <c r="D11" s="9">
        <v>176</v>
      </c>
      <c r="E11" s="13"/>
      <c r="F11" s="8">
        <v>216.61</v>
      </c>
      <c r="G11" s="9">
        <v>263</v>
      </c>
      <c r="H11" s="13"/>
      <c r="I11" s="8">
        <v>154.94999999999999</v>
      </c>
      <c r="J11" s="9">
        <v>268</v>
      </c>
      <c r="K11" s="13"/>
      <c r="L11" s="8">
        <v>452.80139999999994</v>
      </c>
      <c r="M11" s="9">
        <v>281</v>
      </c>
      <c r="N11" s="13"/>
      <c r="O11" s="8">
        <v>492.34320000000002</v>
      </c>
      <c r="P11" s="9">
        <v>150</v>
      </c>
    </row>
    <row r="12" spans="1:17" x14ac:dyDescent="0.25">
      <c r="B12" s="13"/>
      <c r="C12" s="7"/>
      <c r="D12" s="7"/>
      <c r="E12" s="13"/>
      <c r="F12" s="7"/>
      <c r="G12" s="7"/>
      <c r="H12" s="13"/>
      <c r="I12" s="7"/>
      <c r="J12" s="7"/>
      <c r="K12" s="13"/>
      <c r="L12" s="7"/>
      <c r="M12" s="7"/>
      <c r="N12" s="13"/>
      <c r="O12" s="7"/>
      <c r="P12" s="7"/>
    </row>
    <row r="13" spans="1:17" x14ac:dyDescent="0.25">
      <c r="B13" s="13"/>
      <c r="C13" s="11"/>
      <c r="D13" s="9"/>
      <c r="E13" s="13"/>
      <c r="F13" s="11"/>
      <c r="G13" s="9"/>
      <c r="H13" s="13"/>
      <c r="I13" s="11"/>
      <c r="J13" s="9"/>
      <c r="K13" s="13"/>
      <c r="L13" s="11"/>
      <c r="M13" s="9"/>
      <c r="N13" s="13"/>
      <c r="O13" s="11"/>
      <c r="P13" s="9"/>
    </row>
    <row r="14" spans="1:17" x14ac:dyDescent="0.25">
      <c r="B14" s="9"/>
      <c r="C14" s="11"/>
      <c r="D14" s="9"/>
      <c r="E14" s="9"/>
      <c r="F14" s="11"/>
      <c r="G14" s="9"/>
      <c r="H14" s="9"/>
      <c r="I14" s="11"/>
      <c r="J14" s="9"/>
      <c r="K14" s="9"/>
      <c r="L14" s="11"/>
      <c r="M14" s="9"/>
      <c r="N14" s="9"/>
      <c r="O14" s="11"/>
      <c r="P14" s="9"/>
    </row>
    <row r="15" spans="1:17" x14ac:dyDescent="0.25">
      <c r="B15" s="9"/>
      <c r="C15" s="11"/>
      <c r="D15" s="9"/>
      <c r="E15" s="9"/>
      <c r="F15" s="11"/>
      <c r="G15" s="9"/>
      <c r="H15" s="9"/>
      <c r="I15" s="11"/>
      <c r="J15" s="9"/>
      <c r="K15" s="9"/>
      <c r="L15" s="11"/>
      <c r="M15" s="9"/>
      <c r="N15" s="9"/>
      <c r="O15" s="11"/>
      <c r="P15" s="9"/>
    </row>
    <row r="16" spans="1:17" x14ac:dyDescent="0.25">
      <c r="B16" s="20"/>
      <c r="C16" s="26" t="s">
        <v>80</v>
      </c>
      <c r="D16" s="26"/>
      <c r="E16" s="20"/>
      <c r="F16" s="26" t="s">
        <v>79</v>
      </c>
      <c r="G16" s="26"/>
      <c r="H16" s="20"/>
      <c r="I16" s="26" t="s">
        <v>78</v>
      </c>
      <c r="J16" s="26"/>
      <c r="K16" s="20"/>
      <c r="L16" s="26" t="s">
        <v>77</v>
      </c>
      <c r="M16" s="26"/>
      <c r="N16" s="20"/>
      <c r="O16" s="26" t="s">
        <v>76</v>
      </c>
      <c r="P16" s="26"/>
    </row>
    <row r="17" spans="1:16" x14ac:dyDescent="0.25">
      <c r="B17" s="20"/>
      <c r="C17" s="18" t="s">
        <v>50</v>
      </c>
      <c r="D17" s="18" t="s">
        <v>48</v>
      </c>
      <c r="E17" s="20"/>
      <c r="F17" s="18" t="s">
        <v>50</v>
      </c>
      <c r="G17" s="18" t="s">
        <v>48</v>
      </c>
      <c r="H17" s="20"/>
      <c r="I17" s="18" t="s">
        <v>50</v>
      </c>
      <c r="J17" s="18" t="s">
        <v>48</v>
      </c>
      <c r="K17" s="20"/>
      <c r="L17" s="18" t="s">
        <v>50</v>
      </c>
      <c r="M17" s="18" t="s">
        <v>48</v>
      </c>
      <c r="N17" s="20"/>
      <c r="O17" s="18" t="s">
        <v>50</v>
      </c>
      <c r="P17" s="18" t="s">
        <v>48</v>
      </c>
    </row>
    <row r="19" spans="1:16" x14ac:dyDescent="0.25">
      <c r="A19" s="5" t="s">
        <v>52</v>
      </c>
      <c r="M19" s="9"/>
    </row>
    <row r="20" spans="1:16" x14ac:dyDescent="0.25">
      <c r="A20" t="s">
        <v>53</v>
      </c>
      <c r="B20" s="13"/>
      <c r="C20" s="8">
        <f>6762.37+10224.65+1434.03</f>
        <v>18421.05</v>
      </c>
      <c r="D20" s="9">
        <v>20702</v>
      </c>
      <c r="E20" s="13"/>
      <c r="F20" s="8">
        <f>6481.6+9777.97+1100.94</f>
        <v>17360.509999999998</v>
      </c>
      <c r="G20" s="9">
        <v>20773</v>
      </c>
      <c r="H20" s="8"/>
      <c r="I20" s="8">
        <f>6046.83+7270.78+686.66</f>
        <v>14004.27</v>
      </c>
      <c r="J20" s="9">
        <v>18211</v>
      </c>
      <c r="K20" s="8"/>
      <c r="L20" s="8">
        <f>5282.7+8260.16+1168.18</f>
        <v>14711.04</v>
      </c>
      <c r="M20" s="9">
        <v>18696</v>
      </c>
      <c r="N20" s="8"/>
      <c r="O20" s="8">
        <f>4400.43+5782.09+834.88</f>
        <v>11017.4</v>
      </c>
      <c r="P20" s="9">
        <v>32072</v>
      </c>
    </row>
    <row r="21" spans="1:16" x14ac:dyDescent="0.25">
      <c r="A21" t="s">
        <v>54</v>
      </c>
      <c r="B21" s="13"/>
      <c r="C21" s="8">
        <f>2962.25+4655.66+595.69</f>
        <v>8213.6</v>
      </c>
      <c r="D21" s="9">
        <v>16835</v>
      </c>
      <c r="E21" s="13"/>
      <c r="F21" s="8">
        <f>3264.88+5153.69+541.89</f>
        <v>8960.4599999999991</v>
      </c>
      <c r="G21" s="9">
        <v>18894</v>
      </c>
      <c r="H21" s="8"/>
      <c r="I21" s="8">
        <f>2737.63+3529.75+279.18</f>
        <v>6546.56</v>
      </c>
      <c r="J21" s="9">
        <v>15725</v>
      </c>
      <c r="K21" s="8"/>
      <c r="L21" s="8">
        <f>2432.59+4048.66+497.41</f>
        <v>6978.66</v>
      </c>
      <c r="M21" s="9">
        <v>19076</v>
      </c>
      <c r="N21" s="8"/>
      <c r="O21" s="8">
        <f>3212.19+4220.76+609.44</f>
        <v>8042.3900000000012</v>
      </c>
      <c r="P21" s="9">
        <v>19076</v>
      </c>
    </row>
    <row r="22" spans="1:16" x14ac:dyDescent="0.25">
      <c r="A22" t="s">
        <v>75</v>
      </c>
      <c r="B22" s="13"/>
      <c r="C22" s="8">
        <v>760.1</v>
      </c>
      <c r="D22" s="9">
        <v>1121</v>
      </c>
      <c r="E22" s="13"/>
      <c r="F22" s="8"/>
      <c r="G22" s="9">
        <v>0</v>
      </c>
      <c r="H22" s="8"/>
      <c r="I22" s="8"/>
      <c r="J22" s="9">
        <v>0</v>
      </c>
      <c r="K22" s="8"/>
      <c r="L22" s="8"/>
      <c r="M22" s="9">
        <v>0</v>
      </c>
      <c r="N22" s="8"/>
      <c r="O22" s="8">
        <f>411.11+856.55</f>
        <v>1267.6599999999999</v>
      </c>
      <c r="P22" s="9">
        <v>4471</v>
      </c>
    </row>
    <row r="23" spans="1:16" x14ac:dyDescent="0.25">
      <c r="A23" t="s">
        <v>55</v>
      </c>
      <c r="B23" s="13"/>
      <c r="C23" s="8"/>
      <c r="D23" s="9"/>
      <c r="E23" s="13"/>
      <c r="F23" s="8"/>
      <c r="G23" s="9">
        <v>0</v>
      </c>
      <c r="H23" s="8"/>
      <c r="I23" s="8">
        <f>288.94+372.54+29.47</f>
        <v>690.95</v>
      </c>
      <c r="J23" s="9">
        <v>2968</v>
      </c>
      <c r="K23" s="8"/>
      <c r="L23" s="8">
        <f>262.06+436.16+43.54</f>
        <v>741.76</v>
      </c>
      <c r="M23" s="9">
        <v>2772</v>
      </c>
      <c r="N23" s="8"/>
      <c r="O23" s="8">
        <f>2304.84+3028.52+437.29</f>
        <v>5770.6500000000005</v>
      </c>
      <c r="P23" s="9">
        <v>6657</v>
      </c>
    </row>
    <row r="24" spans="1:16" x14ac:dyDescent="0.25">
      <c r="A24" t="s">
        <v>56</v>
      </c>
      <c r="B24" s="13"/>
      <c r="C24" s="8">
        <f>1600.28+2515.1+321.81</f>
        <v>4437.1900000000005</v>
      </c>
      <c r="D24" s="9">
        <v>4981</v>
      </c>
      <c r="E24" s="13"/>
      <c r="F24" s="8">
        <f>1746.81+2757.39+289.93</f>
        <v>4794.13</v>
      </c>
      <c r="G24" s="9">
        <v>6600</v>
      </c>
      <c r="H24" s="8"/>
      <c r="I24" s="8">
        <f>1337.75+1724.83+136.42</f>
        <v>3199</v>
      </c>
      <c r="J24" s="9">
        <v>4358</v>
      </c>
      <c r="K24" s="8"/>
      <c r="L24" s="8">
        <f>1231.32+2019.38+201.59</f>
        <v>3452.29</v>
      </c>
      <c r="M24" s="9">
        <v>4657</v>
      </c>
      <c r="N24" s="8"/>
      <c r="O24" s="8">
        <f>1589.21+2088.2+301.52</f>
        <v>3978.93</v>
      </c>
      <c r="P24" s="9">
        <v>6672</v>
      </c>
    </row>
    <row r="25" spans="1:16" x14ac:dyDescent="0.25">
      <c r="A25" t="s">
        <v>57</v>
      </c>
      <c r="B25" s="13"/>
      <c r="C25" s="8">
        <f>9869.34+15496.86+1982.83</f>
        <v>27349.03</v>
      </c>
      <c r="D25" s="9">
        <v>30703</v>
      </c>
      <c r="E25" s="13"/>
      <c r="F25" s="8">
        <f>8273.62+13056.63+1373.02</f>
        <v>22703.27</v>
      </c>
      <c r="G25" s="9">
        <v>28748</v>
      </c>
      <c r="H25" s="8"/>
      <c r="I25" s="8">
        <f>6758.12+8723.56+689.98</f>
        <v>16171.66</v>
      </c>
      <c r="J25" s="9">
        <v>16742</v>
      </c>
      <c r="K25" s="8"/>
      <c r="L25" s="8">
        <f>7137.23+11877.04+1186.11</f>
        <v>20200.38</v>
      </c>
      <c r="M25" s="9">
        <v>20230</v>
      </c>
      <c r="N25" s="8"/>
      <c r="O25" s="8">
        <f>9407.98+12371.11+1786.32</f>
        <v>23565.41</v>
      </c>
      <c r="P25" s="9">
        <v>27184</v>
      </c>
    </row>
    <row r="26" spans="1:16" x14ac:dyDescent="0.25">
      <c r="A26" t="s">
        <v>58</v>
      </c>
      <c r="B26" s="13"/>
      <c r="C26" s="8">
        <f>3153.05+5215.48+582.32</f>
        <v>8950.8499999999985</v>
      </c>
      <c r="D26" s="9">
        <v>10047</v>
      </c>
      <c r="E26" s="13"/>
      <c r="F26" s="8">
        <f>3767.32+6340.74+602.62</f>
        <v>10710.68</v>
      </c>
      <c r="G26" s="9">
        <v>12535</v>
      </c>
      <c r="H26" s="8"/>
      <c r="I26" s="8">
        <f>2919.5+3858+215.72</f>
        <v>6993.22</v>
      </c>
      <c r="J26" s="9">
        <v>7240</v>
      </c>
      <c r="K26" s="8"/>
      <c r="L26" s="8">
        <f>2793.05+4994.07+433.48</f>
        <v>8220.6</v>
      </c>
      <c r="M26" s="9">
        <v>9021</v>
      </c>
      <c r="N26" s="8"/>
      <c r="O26" s="8">
        <f>3864.3+5248.64+226.98</f>
        <v>9339.92</v>
      </c>
      <c r="P26" s="9">
        <v>10774</v>
      </c>
    </row>
    <row r="27" spans="1:16" x14ac:dyDescent="0.25">
      <c r="A27" t="s">
        <v>59</v>
      </c>
      <c r="B27" s="13"/>
      <c r="C27" s="8">
        <f>4574.38+7182.7+919.03</f>
        <v>12676.11</v>
      </c>
      <c r="D27" s="9">
        <v>14230</v>
      </c>
      <c r="E27" s="13"/>
      <c r="F27" s="8">
        <f>4587.24+7239.15+761.26</f>
        <v>12587.65</v>
      </c>
      <c r="G27" s="9">
        <v>14730</v>
      </c>
      <c r="H27" s="8"/>
      <c r="I27" s="8">
        <f>3778.51+4877.39+385.77</f>
        <v>9041.6700000000019</v>
      </c>
      <c r="J27" s="9">
        <v>9360</v>
      </c>
      <c r="K27" s="8"/>
      <c r="L27" s="8">
        <f>3430.49+5708.66+570.1</f>
        <v>9709.25</v>
      </c>
      <c r="M27" s="9">
        <v>11311</v>
      </c>
      <c r="N27" s="8"/>
      <c r="O27" s="8">
        <f>4526.61+5952.31+859.48</f>
        <v>11338.4</v>
      </c>
      <c r="P27" s="9">
        <v>12088</v>
      </c>
    </row>
    <row r="28" spans="1:16" x14ac:dyDescent="0.25">
      <c r="A28" t="s">
        <v>60</v>
      </c>
      <c r="B28" s="13"/>
      <c r="C28" s="8">
        <f>179.53+348.67+44.61</f>
        <v>572.81000000000006</v>
      </c>
      <c r="D28" s="9">
        <v>643</v>
      </c>
      <c r="E28" s="13"/>
      <c r="F28" s="8">
        <f>241.35+380.98+40.06</f>
        <v>662.3900000000001</v>
      </c>
      <c r="G28" s="9">
        <v>775</v>
      </c>
      <c r="H28" s="8"/>
      <c r="I28" s="8">
        <f>201.37+259.64+20.54</f>
        <v>481.55</v>
      </c>
      <c r="J28" s="9">
        <v>499</v>
      </c>
      <c r="K28" s="8"/>
      <c r="L28" s="8">
        <f>181.61+302+26+30.17</f>
        <v>539.78</v>
      </c>
      <c r="M28" s="9">
        <v>602</v>
      </c>
      <c r="N28" s="8"/>
      <c r="O28" s="8">
        <f>221.25+290.72+41.98</f>
        <v>553.95000000000005</v>
      </c>
      <c r="P28" s="9">
        <v>639</v>
      </c>
    </row>
    <row r="29" spans="1:16" x14ac:dyDescent="0.25">
      <c r="A29" t="s">
        <v>61</v>
      </c>
      <c r="B29" s="13"/>
      <c r="C29" s="8">
        <f>4165.84+6541.2+836.95</f>
        <v>11543.990000000002</v>
      </c>
      <c r="D29" s="9">
        <v>12959</v>
      </c>
      <c r="E29" s="13"/>
      <c r="F29" s="8">
        <f>4770.79+7528.81+791.72</f>
        <v>13091.32</v>
      </c>
      <c r="G29" s="9">
        <v>15321</v>
      </c>
      <c r="H29" s="8"/>
      <c r="I29" s="8">
        <f>4257.48+3298.26+336.74</f>
        <v>7892.48</v>
      </c>
      <c r="J29" s="9">
        <v>10596</v>
      </c>
      <c r="K29" s="8"/>
      <c r="L29" s="8">
        <f>3105.33+5167.56+516.06</f>
        <v>8788.9499999999989</v>
      </c>
      <c r="M29" s="9">
        <v>9873</v>
      </c>
      <c r="N29" s="8"/>
      <c r="O29" s="8">
        <f>4048.11+5323.11+768.63</f>
        <v>10139.849999999999</v>
      </c>
      <c r="P29" s="9">
        <v>11697</v>
      </c>
    </row>
    <row r="30" spans="1:16" s="14" customFormat="1" x14ac:dyDescent="0.25">
      <c r="A30" s="14" t="s">
        <v>81</v>
      </c>
      <c r="B30" s="13"/>
      <c r="C30" s="15">
        <f>4179.36+6568.55+840.45</f>
        <v>11588.36</v>
      </c>
      <c r="D30" s="9"/>
      <c r="E30" s="13"/>
      <c r="F30" s="15">
        <f>5340.75+383.38+561.56</f>
        <v>6285.6900000000005</v>
      </c>
      <c r="G30" s="9"/>
      <c r="H30" s="8"/>
      <c r="I30" s="15"/>
      <c r="J30" s="9"/>
      <c r="K30" s="8"/>
      <c r="L30" s="15"/>
      <c r="M30" s="9"/>
      <c r="N30" s="8"/>
      <c r="O30" s="15"/>
      <c r="P30" s="9"/>
    </row>
    <row r="31" spans="1:16" x14ac:dyDescent="0.25">
      <c r="A31" t="s">
        <v>62</v>
      </c>
      <c r="B31" s="13"/>
      <c r="C31" s="8">
        <f>7365.92+11565.98+1479.87</f>
        <v>20411.77</v>
      </c>
      <c r="D31" s="9">
        <v>22915</v>
      </c>
      <c r="E31" s="13"/>
      <c r="F31" s="8">
        <f>7330.99+11569.07+1216.59</f>
        <v>20116.649999999998</v>
      </c>
      <c r="G31" s="9">
        <v>23542</v>
      </c>
      <c r="H31" s="8"/>
      <c r="I31" s="8">
        <f>6338.16+7856.22+621.37</f>
        <v>14815.750000000002</v>
      </c>
      <c r="J31" s="9">
        <v>19745</v>
      </c>
      <c r="K31" s="8"/>
      <c r="L31" s="8">
        <f>6811.84+10649.58+1161.34</f>
        <v>18622.759999999998</v>
      </c>
      <c r="M31" s="9">
        <v>20564</v>
      </c>
      <c r="N31" s="8"/>
      <c r="O31" s="8">
        <f>8805.72+11323.38+1967.38</f>
        <v>22096.48</v>
      </c>
      <c r="P31" s="9">
        <v>33503</v>
      </c>
    </row>
    <row r="32" spans="1:16" x14ac:dyDescent="0.25">
      <c r="A32" t="s">
        <v>63</v>
      </c>
      <c r="B32" s="13"/>
      <c r="C32" s="8">
        <f>14813+24500.88+2735.59</f>
        <v>42049.47</v>
      </c>
      <c r="D32" s="9">
        <v>65089</v>
      </c>
      <c r="E32" s="13"/>
      <c r="F32" s="8">
        <f>14872.34+25049.29+2379.11</f>
        <v>42300.740000000005</v>
      </c>
      <c r="G32" s="9">
        <v>54791</v>
      </c>
      <c r="H32" s="8"/>
      <c r="I32" s="8">
        <f>12811.44+16910.39+945.52</f>
        <v>30667.350000000002</v>
      </c>
      <c r="J32" s="9">
        <v>49291</v>
      </c>
      <c r="K32" s="8"/>
      <c r="L32" s="8">
        <f>9395.98+16797.92+1457.28</f>
        <v>27651.179999999997</v>
      </c>
      <c r="M32" s="9">
        <v>49493</v>
      </c>
      <c r="N32" s="8"/>
      <c r="O32" s="8">
        <f>12593.57+17102.33+1582.12</f>
        <v>31278.02</v>
      </c>
      <c r="P32" s="9">
        <v>85578</v>
      </c>
    </row>
    <row r="33" spans="1:16" x14ac:dyDescent="0.25">
      <c r="A33" t="s">
        <v>64</v>
      </c>
      <c r="B33" s="13"/>
      <c r="C33" s="8">
        <f>437.44+724.24+80.86</f>
        <v>1242.54</v>
      </c>
      <c r="D33" s="9">
        <v>3505</v>
      </c>
      <c r="E33" s="13"/>
      <c r="F33" s="8">
        <f>444.18+747.79+71.06</f>
        <v>1263.03</v>
      </c>
      <c r="G33" s="9">
        <v>4545</v>
      </c>
      <c r="H33" s="8"/>
      <c r="I33" s="8">
        <f>340.67+449.67+25.14</f>
        <v>815.48</v>
      </c>
      <c r="J33" s="9">
        <v>2961</v>
      </c>
      <c r="K33" s="8"/>
      <c r="L33" s="8">
        <f>306.04+547.29+47.49</f>
        <v>900.81999999999994</v>
      </c>
      <c r="M33" s="9">
        <v>3405</v>
      </c>
      <c r="N33" s="8"/>
      <c r="O33" s="8">
        <f>425.12+576.99+59.43</f>
        <v>1061.54</v>
      </c>
      <c r="P33" s="9">
        <v>4267</v>
      </c>
    </row>
    <row r="34" spans="1:16" x14ac:dyDescent="0.25">
      <c r="A34" t="s">
        <v>65</v>
      </c>
      <c r="B34" s="13"/>
      <c r="C34" s="8">
        <f>7270.65+11416.38+1460.73</f>
        <v>20147.759999999998</v>
      </c>
      <c r="D34" s="9">
        <v>23658</v>
      </c>
      <c r="E34" s="13"/>
      <c r="F34" s="8">
        <f>7294.02+11510.72+1210.45</f>
        <v>20015.189999999999</v>
      </c>
      <c r="G34" s="9">
        <v>31091</v>
      </c>
      <c r="H34" s="8"/>
      <c r="I34" s="8">
        <f>6789.54+8415.7+665.63</f>
        <v>15870.87</v>
      </c>
      <c r="J34" s="9">
        <v>23166</v>
      </c>
      <c r="K34" s="8"/>
      <c r="L34" s="8">
        <f>5629.46+9367.96+935.54</f>
        <v>15932.96</v>
      </c>
      <c r="M34" s="9">
        <v>25168</v>
      </c>
      <c r="N34" s="8"/>
      <c r="O34" s="8">
        <f>7599.94+999.62+1443.02</f>
        <v>10042.58</v>
      </c>
      <c r="P34" s="9">
        <v>32072</v>
      </c>
    </row>
    <row r="35" spans="1:16" x14ac:dyDescent="0.25">
      <c r="A35" t="s">
        <v>66</v>
      </c>
      <c r="B35" s="13"/>
      <c r="C35" s="8">
        <f>10499.53+16486.37+2109.44</f>
        <v>29095.34</v>
      </c>
      <c r="D35" s="9">
        <v>32663</v>
      </c>
      <c r="E35" s="13"/>
      <c r="F35" s="8">
        <f>11768.78+18572.37+1953.05</f>
        <v>32294.2</v>
      </c>
      <c r="G35" s="9">
        <v>37794</v>
      </c>
      <c r="H35" s="8"/>
      <c r="I35" s="8">
        <f>8480.27+10946.56+865.8</f>
        <v>20292.63</v>
      </c>
      <c r="J35" s="9">
        <v>25856</v>
      </c>
      <c r="K35" s="8"/>
      <c r="L35" s="8">
        <f>8468.09+14091.73+1407.28</f>
        <v>23967.1</v>
      </c>
      <c r="M35" s="9">
        <v>27307</v>
      </c>
      <c r="N35" s="8"/>
      <c r="O35" s="8">
        <f>11728.67+15422.73+2226.95</f>
        <v>29378.350000000002</v>
      </c>
      <c r="P35" s="9">
        <v>33890</v>
      </c>
    </row>
    <row r="36" spans="1:16" x14ac:dyDescent="0.25">
      <c r="A36" t="s">
        <v>67</v>
      </c>
      <c r="B36" s="13"/>
      <c r="C36" s="8">
        <f>4327.8+6801.92+870.31</f>
        <v>12000.03</v>
      </c>
      <c r="D36" s="9">
        <v>13471</v>
      </c>
      <c r="E36" s="13"/>
      <c r="F36" s="8">
        <f>4861.16+7673.47+806.84</f>
        <v>13341.470000000001</v>
      </c>
      <c r="G36" s="9">
        <v>15613</v>
      </c>
      <c r="H36" s="8"/>
      <c r="I36" s="8">
        <f>3951.96+5095.44+403.02</f>
        <v>9450.42</v>
      </c>
      <c r="J36" s="9">
        <v>9784</v>
      </c>
      <c r="K36" s="8"/>
      <c r="L36" s="8">
        <f>3672.6+6112.47+610.2</f>
        <v>10395.27</v>
      </c>
      <c r="M36" s="9">
        <v>11819</v>
      </c>
      <c r="N36" s="8"/>
      <c r="O36" s="8">
        <f>3885.54+5273.56+228.05</f>
        <v>9387.15</v>
      </c>
      <c r="P36" s="9">
        <v>11748</v>
      </c>
    </row>
    <row r="37" spans="1:16" x14ac:dyDescent="0.25">
      <c r="A37" t="s">
        <v>68</v>
      </c>
      <c r="B37" s="13"/>
      <c r="C37" s="8">
        <f>406.65+639.12+81.78</f>
        <v>1127.55</v>
      </c>
      <c r="D37" s="9">
        <v>2347</v>
      </c>
      <c r="E37" s="13"/>
      <c r="F37" s="8">
        <f>435+688.01+72.34</f>
        <v>1195.3499999999999</v>
      </c>
      <c r="G37" s="9">
        <v>2965</v>
      </c>
      <c r="H37" s="8"/>
      <c r="I37" s="8">
        <f>347.37+447.88+35.42</f>
        <v>830.67</v>
      </c>
      <c r="J37" s="9">
        <v>2248</v>
      </c>
      <c r="K37" s="8"/>
      <c r="L37" s="8">
        <f>317.64+528.67+52.78</f>
        <v>899.08999999999992</v>
      </c>
      <c r="M37" s="9">
        <v>2375</v>
      </c>
      <c r="N37" s="8"/>
      <c r="O37" s="8">
        <f>431.03+566.37+81.78</f>
        <v>1079.18</v>
      </c>
      <c r="P37" s="9">
        <v>2820</v>
      </c>
    </row>
    <row r="38" spans="1:16" x14ac:dyDescent="0.25">
      <c r="A38" t="s">
        <v>69</v>
      </c>
      <c r="B38" s="13"/>
      <c r="C38" s="8">
        <v>130.85</v>
      </c>
      <c r="D38" s="9">
        <v>4067</v>
      </c>
      <c r="E38" s="13"/>
      <c r="F38" s="8">
        <f>1303.7+2057.92+216.38</f>
        <v>3578</v>
      </c>
      <c r="G38" s="9">
        <v>6236</v>
      </c>
      <c r="H38" s="8"/>
      <c r="I38" s="8">
        <f>211.41+335.31+26.52</f>
        <v>573.24</v>
      </c>
      <c r="J38" s="9">
        <v>813</v>
      </c>
      <c r="K38" s="8"/>
      <c r="L38" s="8">
        <f>467.35+280.8+46.65</f>
        <v>794.80000000000007</v>
      </c>
      <c r="M38" s="9">
        <v>2077</v>
      </c>
      <c r="N38" s="8"/>
      <c r="O38" s="8">
        <f>487.73+371.18+70.42</f>
        <v>929.33</v>
      </c>
      <c r="P38" s="9">
        <v>1072</v>
      </c>
    </row>
    <row r="39" spans="1:16" x14ac:dyDescent="0.25">
      <c r="A39" t="s">
        <v>70</v>
      </c>
      <c r="B39" s="13"/>
      <c r="C39" s="8"/>
      <c r="D39" s="9"/>
      <c r="E39" s="13"/>
      <c r="F39" s="8"/>
      <c r="G39" s="9"/>
      <c r="H39" s="8"/>
      <c r="I39" s="8">
        <f>2.25+168.86+13.36</f>
        <v>184.47000000000003</v>
      </c>
      <c r="J39" s="9">
        <v>662</v>
      </c>
      <c r="K39" s="8"/>
      <c r="L39" s="8">
        <f>228.43+380.19+37.95</f>
        <v>646.57000000000005</v>
      </c>
      <c r="M39" s="9">
        <v>1690</v>
      </c>
      <c r="N39" s="8"/>
      <c r="O39" s="8">
        <f>301.96+396.77+57.29</f>
        <v>756.02</v>
      </c>
      <c r="P39" s="9">
        <v>872</v>
      </c>
    </row>
    <row r="40" spans="1:16" x14ac:dyDescent="0.25">
      <c r="A40" t="s">
        <v>74</v>
      </c>
      <c r="B40" s="13"/>
      <c r="C40" s="8"/>
      <c r="D40" s="9"/>
      <c r="E40" s="13"/>
      <c r="F40" s="8"/>
      <c r="G40" s="9"/>
      <c r="H40" s="8"/>
      <c r="I40" s="8"/>
      <c r="J40" s="9">
        <v>0</v>
      </c>
      <c r="K40" s="8"/>
      <c r="L40" s="8">
        <f>16.06+448.04+44.73</f>
        <v>508.83000000000004</v>
      </c>
      <c r="M40" s="9">
        <v>0</v>
      </c>
      <c r="N40" s="8"/>
      <c r="O40" s="8">
        <f>606.55+797+115.08</f>
        <v>1518.6299999999999</v>
      </c>
      <c r="P40" s="9">
        <v>1752</v>
      </c>
    </row>
    <row r="41" spans="1:16" x14ac:dyDescent="0.25">
      <c r="A41" t="s">
        <v>71</v>
      </c>
      <c r="B41" s="13"/>
      <c r="C41" s="8">
        <v>121.68</v>
      </c>
      <c r="D41" s="9">
        <v>11888</v>
      </c>
      <c r="E41" s="13"/>
      <c r="F41" s="8">
        <f>1212.35+1913.73+201.22</f>
        <v>3327.2999999999997</v>
      </c>
      <c r="G41" s="9">
        <v>17667</v>
      </c>
      <c r="H41" s="8"/>
      <c r="I41" s="8">
        <f>1038.91+1339.51+105.95</f>
        <v>2484.37</v>
      </c>
      <c r="J41" s="9">
        <v>2572</v>
      </c>
      <c r="K41" s="8"/>
      <c r="L41" s="8">
        <f>900.26+1498.34+149.58</f>
        <v>2548.1799999999998</v>
      </c>
      <c r="M41" s="9">
        <v>3107</v>
      </c>
      <c r="N41" s="8"/>
      <c r="O41" s="8">
        <f>1190.03+1563.68+225.78</f>
        <v>2979.4900000000002</v>
      </c>
      <c r="P41" s="9">
        <v>4903</v>
      </c>
    </row>
    <row r="42" spans="1:16" x14ac:dyDescent="0.25">
      <c r="A42" t="s">
        <v>72</v>
      </c>
      <c r="B42" s="13"/>
      <c r="C42" s="8"/>
      <c r="D42" s="9"/>
      <c r="E42" s="13"/>
      <c r="F42" s="8"/>
      <c r="G42" s="9"/>
      <c r="H42" s="8"/>
      <c r="I42" s="8">
        <f>250.37+322.82+25.53</f>
        <v>598.72</v>
      </c>
      <c r="J42" s="9">
        <v>620</v>
      </c>
      <c r="K42" s="8"/>
      <c r="L42" s="8">
        <f>225.64+375.54+37.49</f>
        <v>638.67000000000007</v>
      </c>
      <c r="M42" s="9">
        <v>749</v>
      </c>
      <c r="N42" s="8"/>
      <c r="O42" s="8">
        <f>295.87+388.77+56.13</f>
        <v>740.77</v>
      </c>
      <c r="P42" s="9">
        <v>1182</v>
      </c>
    </row>
    <row r="43" spans="1:16" x14ac:dyDescent="0.25">
      <c r="A43" t="s">
        <v>73</v>
      </c>
      <c r="B43" s="13"/>
      <c r="C43" s="8">
        <f>234.88+369.16+47.23</f>
        <v>651.27</v>
      </c>
      <c r="D43" s="9">
        <v>2089</v>
      </c>
      <c r="E43" s="13"/>
      <c r="F43" s="8">
        <f>235.64+371.97+39.11</f>
        <v>646.72</v>
      </c>
      <c r="G43" s="9">
        <v>3150</v>
      </c>
      <c r="H43" s="8"/>
      <c r="I43" s="8">
        <f>194.21+250.41+19.81</f>
        <v>464.43</v>
      </c>
      <c r="J43" s="9">
        <v>1718</v>
      </c>
      <c r="K43" s="8"/>
      <c r="L43" s="8">
        <f>174.98+291.23+29.07</f>
        <v>495.28000000000003</v>
      </c>
      <c r="M43" s="9">
        <v>1879</v>
      </c>
      <c r="N43" s="8"/>
      <c r="O43" s="8">
        <f>232.77+305.85+44.16</f>
        <v>582.78</v>
      </c>
      <c r="P43" s="9">
        <v>2687</v>
      </c>
    </row>
    <row r="44" spans="1:16" x14ac:dyDescent="0.25">
      <c r="D44" s="9"/>
      <c r="E44" s="13"/>
      <c r="F44" s="8"/>
      <c r="G44" s="9"/>
      <c r="H44" s="8"/>
      <c r="I44" s="8"/>
      <c r="J44" s="9"/>
      <c r="K44" s="8"/>
      <c r="L44" s="8"/>
      <c r="M44" s="9"/>
      <c r="N44" s="8"/>
      <c r="O44" s="8"/>
      <c r="P44" s="9"/>
    </row>
    <row r="45" spans="1:16" x14ac:dyDescent="0.25">
      <c r="C45" s="8"/>
      <c r="D45" s="9"/>
      <c r="F45" s="8"/>
      <c r="G45" s="9"/>
      <c r="H45" s="8"/>
      <c r="I45" s="8"/>
      <c r="J45" s="9"/>
      <c r="K45" s="8"/>
      <c r="L45" s="8"/>
      <c r="M45" s="9"/>
      <c r="N45" s="8"/>
      <c r="O45" s="8"/>
      <c r="P45" s="9"/>
    </row>
    <row r="46" spans="1:16" x14ac:dyDescent="0.25">
      <c r="C46" s="8"/>
      <c r="D46" s="9"/>
      <c r="F46" s="8"/>
      <c r="G46" s="9"/>
      <c r="H46" s="8"/>
      <c r="I46" s="8"/>
      <c r="J46" s="9"/>
      <c r="K46" s="8"/>
      <c r="L46" s="8"/>
      <c r="M46" s="9"/>
      <c r="N46" s="8"/>
      <c r="O46" s="8"/>
      <c r="P46" s="9"/>
    </row>
    <row r="50" spans="1:16" x14ac:dyDescent="0.25">
      <c r="A50" s="5"/>
    </row>
    <row r="51" spans="1:16" x14ac:dyDescent="0.25"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x14ac:dyDescent="0.25"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1:16" x14ac:dyDescent="0.25"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x14ac:dyDescent="0.25"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x14ac:dyDescent="0.25"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x14ac:dyDescent="0.25"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x14ac:dyDescent="0.25"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x14ac:dyDescent="0.25"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x14ac:dyDescent="0.25"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 x14ac:dyDescent="0.25"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1:16" x14ac:dyDescent="0.25"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 x14ac:dyDescent="0.25"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x14ac:dyDescent="0.25"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x14ac:dyDescent="0.25"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6:16" x14ac:dyDescent="0.25"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6:16" x14ac:dyDescent="0.25"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6:16" x14ac:dyDescent="0.25"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6:16" x14ac:dyDescent="0.25"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6:16" x14ac:dyDescent="0.25"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6:16" x14ac:dyDescent="0.25"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</row>
    <row r="71" spans="6:16" x14ac:dyDescent="0.25"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6:16" x14ac:dyDescent="0.25"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6:16" x14ac:dyDescent="0.25"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6:16" x14ac:dyDescent="0.25"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</row>
    <row r="75" spans="6:16" x14ac:dyDescent="0.25"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</row>
    <row r="76" spans="6:16" x14ac:dyDescent="0.25">
      <c r="F76" s="12"/>
      <c r="I76" s="12"/>
    </row>
    <row r="77" spans="6:16" x14ac:dyDescent="0.25">
      <c r="F77" s="12"/>
      <c r="I77" s="12"/>
      <c r="P77" s="17"/>
    </row>
    <row r="78" spans="6:16" x14ac:dyDescent="0.25">
      <c r="F78" s="12"/>
      <c r="I78" s="12"/>
    </row>
    <row r="79" spans="6:16" x14ac:dyDescent="0.25">
      <c r="F79" s="12"/>
      <c r="I79" s="12"/>
    </row>
  </sheetData>
  <mergeCells count="9">
    <mergeCell ref="O1:P1"/>
    <mergeCell ref="B1:D1"/>
    <mergeCell ref="L1:M1"/>
    <mergeCell ref="I1:J1"/>
    <mergeCell ref="L16:M16"/>
    <mergeCell ref="O16:P16"/>
    <mergeCell ref="C16:D16"/>
    <mergeCell ref="F16:G16"/>
    <mergeCell ref="I16:J16"/>
  </mergeCells>
  <printOptions horizontalCentered="1" verticalCentered="1" gridLines="1"/>
  <pageMargins left="0.23622047244094491" right="0.23622047244094491" top="0.74803149606299213" bottom="0.74803149606299213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termici</vt:lpstr>
      <vt:lpstr>totali</vt:lpstr>
      <vt:lpstr>totali!Area_stampa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driusso</dc:creator>
  <cp:lastModifiedBy>cristina driusso</cp:lastModifiedBy>
  <cp:lastPrinted>2017-08-14T10:56:53Z</cp:lastPrinted>
  <dcterms:created xsi:type="dcterms:W3CDTF">2017-01-24T14:38:51Z</dcterms:created>
  <dcterms:modified xsi:type="dcterms:W3CDTF">2017-08-16T10:35:05Z</dcterms:modified>
</cp:coreProperties>
</file>